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380" yWindow="380" windowWidth="14400" windowHeight="7360" activeTab="0"/>
  </bookViews>
  <sheets>
    <sheet name="Shee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<sst xmlns="http://schemas.openxmlformats.org/spreadsheetml/2006/main" count="139" uniqueCount="39">
  <si>
    <t>CAMERON PRAIRIE NATIONAL WILDLIFE REFUGE (VISITOR CENTER &amp; WILDLIFE DR.) - VISITOR FLOW</t>
  </si>
  <si>
    <t>Month / Year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</si>
  <si>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</si>
  <si>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</si>
  <si>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</si>
  <si>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</si>
  <si>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</si>
  <si>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</si>
  <si>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</si>
  <si>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</si>
  <si>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</si>
  <si>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</si>
  <si>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Jan.</t>
  </si>
  <si>
    <t>Feb.</t>
  </si>
  <si>
    <t>March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</si>
  <si>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</si>
  <si>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</si>
  <si>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</si>
  <si>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</si>
  <si>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</si>
  <si>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</si>
  <si>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</si>
  <si>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</si>
  <si>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</si>
  <si>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</si>
  <si>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Average:</t>
  </si>
  <si>
    <t>Refuge closed due to damage by Hurricane Ike - 9/08</t>
  </si>
  <si>
    <t>Federal government shutdown 10/1-16/2013</t>
  </si>
  <si>
    <t>SABINE NATIONAL WILDLIFE REFUGE WALKING TRAIL/REC AREA - VISITOR FLOW</t>
  </si>
  <si>
    <t>*Walking Trail severely damaged by Hurricane Rita - 9/05</t>
  </si>
  <si>
    <t>*Refuge closed due to damage by Hurricane Ike - 9/08</t>
  </si>
  <si>
    <t>*Federal government shutdown 10/1-16/2013</t>
  </si>
  <si>
    <t>LACASSINE NATIONAL WILDLIFE REFUGE - VISITOR FLOW</t>
  </si>
  <si>
    <t>*Began reporting visitor count in Jan. 2015</t>
  </si>
  <si>
    <t>CREOLE NATURE TRAIL ADVENTURE POINT - VISITOR FLOW</t>
  </si>
  <si>
    <t>*Opened April 11, 2015</t>
  </si>
  <si>
    <t>*Closed March 17, 2020 due to COVID-19</t>
  </si>
  <si>
    <t>I-10 EASTBOUND STATE INFORMATION CENTER - VISITOR FLOW</t>
  </si>
  <si>
    <t>*Closed for demolition and reconstruction July 2015 / Reopened May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</si>
</sst>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77" formatCode="#,##0"/>
  </numFmts>
  <fonts count="6"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2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0" fontId="1" fillId="0" borderId="8" xfId="0" applyFont="1" applyBorder="1"/>
    <xf numFmtId="3" fontId="1" fillId="0" borderId="0" xfId="0" applyNumberFormat="1" applyFont="1"/>
    <xf numFmtId="164" fontId="1" fillId="0" borderId="0" xfId="18" applyNumberFormat="1" applyFont="1" applyBorder="1"/>
    <xf numFmtId="0" fontId="3" fillId="0" borderId="0" xfId="0" applyFont="1"/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10" xfId="0" applyFont="1" applyBorder="1"/>
    <xf numFmtId="1" fontId="1" fillId="0" borderId="0" xfId="0" applyNumberFormat="1" applyFont="1"/>
    <xf numFmtId="0" fontId="4" fillId="0" borderId="0" xfId="0" applyFont="1"/>
    <xf numFmtId="3" fontId="5" fillId="0" borderId="4" xfId="0" applyNumberFormat="1" applyFont="1" applyBorder="1" applyAlignment="1">
      <alignment horizontal="right"/>
    </xf>
    <xf numFmtId="3" fontId="1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4"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_(* #,##0_);_(* \(#,##0\);_(* &quot;-&quot;??_);_(@_)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_(* #,##0_);_(* \(#,##0\);_(* &quot;-&quot;??_);_(@_)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fill>
        <patternFill patternType="none"/>
      </fill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_(* #,##0_);_(* \(#,##0\);_(* &quot;-&quot;??_);_(@_)"/>
      <border>
        <left style="thin"/>
        <right style="thin"/>
        <top style="thin"/>
        <bottom/>
      </border>
    </dxf>
    <dxf>
      <font>
        <i val="0"/>
        <strike val="0"/>
        <sz val="11"/>
        <name val="Calibri"/>
        <family val="2"/>
        <color auto="1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64" formatCode="_(* #,##0_);_(* \(#,##0\);_(* &quot;-&quot;??_);_(@_)"/>
      <border>
        <left style="thin"/>
        <right style="thin"/>
        <top style="thin"/>
        <bottom/>
      </border>
    </dxf>
    <dxf>
      <font>
        <i val="0"/>
        <strike val="0"/>
        <sz val="11"/>
        <name val="Calibri"/>
        <family val="2"/>
        <color auto="1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i val="0"/>
        <strike val="0"/>
        <sz val="11"/>
        <name val="Calibri"/>
        <family val="2"/>
        <color auto="1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i val="0"/>
        <strike val="0"/>
        <sz val="11"/>
        <name val="Calibri"/>
        <family val="2"/>
        <color auto="1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top style="thin"/>
      </border>
    </dxf>
    <dxf>
      <font>
        <i val="0"/>
        <strike val="0"/>
        <sz val="11"/>
        <name val="Calibri"/>
        <family val="2"/>
        <color auto="1"/>
      </font>
    </dxf>
    <dxf>
      <border>
        <left style="thin"/>
        <right style="thin"/>
        <top style="thin"/>
        <bottom style="thin"/>
      </border>
    </dxf>
    <dxf>
      <font>
        <i val="0"/>
        <strike val="0"/>
        <sz val="11"/>
        <name val="Calibri"/>
        <family val="2"/>
        <color auto="1"/>
      </font>
    </dxf>
    <dxf>
      <border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 style="thin"/>
        <bottom style="thin"/>
        <vertical style="thin"/>
        <horizontal style="thin"/>
      </border>
    </dxf>
    <dxf>
      <border>
        <top style="medium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alignment horizontal="center" vertical="bottom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numFmt numFmtId="177" formatCode="#,##0"/>
      <border>
        <left style="thin"/>
        <right style="thin"/>
        <top style="thin"/>
        <bottom style="thin"/>
        <vertical style="thin"/>
        <horizontal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/>
        <right style="thin"/>
        <top style="thin"/>
        <bottom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</dxf>
    <dxf>
      <border>
        <bottom style="thin"/>
      </border>
    </dxf>
    <dxf>
      <font>
        <b val="0"/>
        <i val="0"/>
        <u val="none"/>
        <strike val="0"/>
        <sz val="11"/>
        <name val="Calibri"/>
        <family val="2"/>
        <color auto="1"/>
        <condense val="0"/>
        <extend val="0"/>
      </font>
      <border>
        <left style="thin"/>
        <right style="thin"/>
        <top/>
        <bottom/>
        <vertical style="thin"/>
        <horizontal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228" displayName="Table1228" ref="A3:K16" totalsRowCount="1" headerRowDxfId="133" dataDxfId="131" tableBorderDxfId="130" headerRowBorderDxfId="132" totalsRowBorderDxfId="129">
  <autoFilter ref="A3:K15"/>
  <tableColumns count="11">
    <tableColumn id="1" name="Month / Year" dataDxfId="128" totalsRowLabel="Total" totalsRowDxfId="127"/>
    <tableColumn id="2" name="2012" dataDxfId="126" totalsRowFunction="sum" totalsRowDxfId="125"/>
    <tableColumn id="3" name="2013" dataDxfId="124" totalsRowFunction="sum" totalsRowDxfId="123"/>
    <tableColumn id="4" name="2014" dataDxfId="122" totalsRowFunction="sum" totalsRowDxfId="121"/>
    <tableColumn id="5" name="2015" dataDxfId="120" totalsRowFunction="sum" totalsRowDxfId="119"/>
    <tableColumn id="6" name="2016" dataDxfId="118" totalsRowFunction="sum" totalsRowDxfId="117"/>
    <tableColumn id="7" name="2017" dataDxfId="116" totalsRowFunction="sum" totalsRowDxfId="115"/>
    <tableColumn id="8" name="2018" dataDxfId="114" totalsRowFunction="sum" totalsRowDxfId="113"/>
    <tableColumn id="9" name="2019" dataDxfId="112" totalsRowFunction="sum" totalsRowDxfId="111"/>
    <tableColumn id="10" name="2020" dataDxfId="110" totalsRowFunction="sum" totalsRowDxfId="109"/>
    <tableColumn id="11" name="2021" dataDxfId="108" totalsRowFunction="sum" totalsRowDxfId="107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1329" displayName="Table1329" ref="A23:K36" totalsRowCount="1" headerRowDxfId="106" dataDxfId="104" tableBorderDxfId="103" headerRowBorderDxfId="105" totalsRowBorderDxfId="102">
  <autoFilter ref="A23:K35"/>
  <tableColumns count="11">
    <tableColumn id="1" name="Month / Year" dataDxfId="101" totalsRowLabel="Total" totalsRowDxfId="100"/>
    <tableColumn id="2" name="2012" dataDxfId="99" totalsRowFunction="sum" totalsRowDxfId="98"/>
    <tableColumn id="3" name="2013" dataDxfId="97" totalsRowFunction="sum" totalsRowDxfId="96"/>
    <tableColumn id="4" name="2014" dataDxfId="95" totalsRowFunction="sum" totalsRowDxfId="94"/>
    <tableColumn id="5" name="2015" dataDxfId="93" totalsRowFunction="sum" totalsRowDxfId="92"/>
    <tableColumn id="6" name="2016" dataDxfId="91" totalsRowFunction="sum" totalsRowDxfId="90"/>
    <tableColumn id="7" name="2017" dataDxfId="89" totalsRowFunction="sum" totalsRowDxfId="88"/>
    <tableColumn id="8" name="2018" dataDxfId="87" totalsRowFunction="sum" totalsRowDxfId="86"/>
    <tableColumn id="9" name="2019" dataDxfId="85" totalsRowFunction="sum" totalsRowDxfId="84"/>
    <tableColumn id="10" name="2020" dataDxfId="83" totalsRowFunction="sum" totalsRowDxfId="82"/>
    <tableColumn id="11" name="2021" dataDxfId="81" totalsRowFunction="sum" totalsRowDxfId="80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1430" displayName="Table1430" ref="A44:K57" totalsRowCount="1" headerRowDxfId="79" dataDxfId="78" tableBorderDxfId="77">
  <autoFilter ref="A44:K56"/>
  <tableColumns count="11">
    <tableColumn id="1" name="Month / Year" dataDxfId="76" totalsRowLabel="Total" totalsRowDxfId="75"/>
    <tableColumn id="2" name="2012" dataDxfId="74" totalsRowDxfId="73"/>
    <tableColumn id="3" name="2013" dataDxfId="72" totalsRowDxfId="71"/>
    <tableColumn id="4" name="2014" dataDxfId="70" totalsRowDxfId="69"/>
    <tableColumn id="5" name="2015" dataDxfId="68" totalsRowFunction="sum" totalsRowDxfId="67"/>
    <tableColumn id="6" name="2016" dataDxfId="66" totalsRowFunction="sum" totalsRowDxfId="65"/>
    <tableColumn id="7" name="2017" dataDxfId="64" totalsRowFunction="sum" totalsRowDxfId="63"/>
    <tableColumn id="8" name="2018" dataDxfId="62" totalsRowFunction="sum" totalsRowDxfId="61"/>
    <tableColumn id="9" name="2019" dataDxfId="60" totalsRowFunction="sum" totalsRowDxfId="59"/>
    <tableColumn id="10" name="2020" dataDxfId="58" totalsRowFunction="sum" totalsRowDxfId="57"/>
    <tableColumn id="11" name="2021" dataDxfId="56" totalsRowFunction="sum" totalsRowDxfId="55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CNTAPFlow31" displayName="CNTAPFlow31" ref="A63:K76" totalsRowCount="1" headerRowDxfId="54" dataDxfId="52" totalsRowDxfId="50" tableBorderDxfId="51" headerRowBorderDxfId="53" totalsRowBorderDxfId="49">
  <autoFilter ref="A63:K75"/>
  <tableColumns count="11">
    <tableColumn id="1" name="Month / Year" dataDxfId="48" totalsRowLabel="Total" totalsRowDxfId="47"/>
    <tableColumn id="2" name="2012" dataDxfId="46" totalsRowDxfId="45"/>
    <tableColumn id="3" name="2013" dataDxfId="44" totalsRowDxfId="43"/>
    <tableColumn id="4" name="2014" dataDxfId="42" totalsRowDxfId="41"/>
    <tableColumn id="5" name="2015" dataDxfId="40" totalsRowFunction="sum" totalsRowDxfId="39"/>
    <tableColumn id="6" name="2016" dataDxfId="38" totalsRowFunction="sum" totalsRowDxfId="37"/>
    <tableColumn id="7" name="2017" dataDxfId="36" totalsRowFunction="sum" totalsRowDxfId="35"/>
    <tableColumn id="8" name="2018" dataDxfId="34" totalsRowFunction="sum" totalsRowDxfId="33"/>
    <tableColumn id="9" name="2019" dataDxfId="32" totalsRowFunction="sum" totalsRowDxfId="31"/>
    <tableColumn id="10" name="2020" dataDxfId="30" totalsRowFunction="sum" totalsRowDxfId="29"/>
    <tableColumn id="11" name="2021" dataDxfId="28" totalsRowFunction="sum" totalsRowDxfId="27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I10EBFlow32" displayName="I10EBFlow32" ref="A84:K97" totalsRowCount="1" headerRowDxfId="26" dataDxfId="24" tableBorderDxfId="23" headerRowBorderDxfId="25" totalsRowBorderDxfId="22">
  <autoFilter ref="A84:K96"/>
  <tableColumns count="11">
    <tableColumn id="1" name="Month / Year" dataDxfId="21" totalsRowLabel="Total" totalsRowDxfId="20"/>
    <tableColumn id="2" name="2012" dataDxfId="19" totalsRowFunction="sum" totalsRowDxfId="18"/>
    <tableColumn id="3" name="2013" dataDxfId="17" totalsRowFunction="sum" totalsRowDxfId="16"/>
    <tableColumn id="4" name="2014" dataDxfId="15" totalsRowFunction="sum" totalsRowDxfId="14"/>
    <tableColumn id="5" name="2015" dataDxfId="13" totalsRowFunction="sum" totalsRowDxfId="12"/>
    <tableColumn id="6" name="2016" dataDxfId="11" totalsRowFunction="sum" totalsRowDxfId="10"/>
    <tableColumn id="7" name="2017" dataDxfId="9" totalsRowFunction="sum" totalsRowDxfId="8"/>
    <tableColumn id="8" name="2018" dataDxfId="7" totalsRowFunction="sum" totalsRowDxfId="6"/>
    <tableColumn id="9" name="2019" dataDxfId="5" totalsRowFunction="sum" totalsRowDxfId="4"/>
    <tableColumn id="10" name="2020" dataDxfId="3" totalsRowFunction="sum" totalsRowDxfId="2"/>
    <tableColumn id="11" name="2021" dataDxfId="1" totalsRowFunction="sum" totalsRow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EBC83-3D51-41FC-B076-03F6707BC3D4}">
  <dimension ref="A1:K100"/>
  <sheetViews>
    <sheetView tabSelected="1" workbookViewId="0" topLeftCell="A1">
      <selection activeCell="N52" sqref="N52"/>
    </sheetView>
  </sheetViews>
  <sheetFormatPr defaultColWidth="9.140625" defaultRowHeight="12.75"/>
  <sheetData>
    <row r="1" spans="1:11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thickBo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4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  <c r="J3" s="3" t="s">
        <v>10</v>
      </c>
      <c r="K3" s="3" t="s">
        <v>11</v>
      </c>
    </row>
    <row r="4" spans="1:11" ht="14.5">
      <c r="A4" s="1" t="s">
        <v>12</v>
      </c>
      <c r="B4" s="5">
        <v>4229</v>
      </c>
      <c r="C4" s="5">
        <v>1778</v>
      </c>
      <c r="D4" s="5">
        <v>2788</v>
      </c>
      <c r="E4" s="5">
        <v>2793</v>
      </c>
      <c r="F4" s="5">
        <v>5819</v>
      </c>
      <c r="G4" s="5">
        <v>1504</v>
      </c>
      <c r="H4" s="5">
        <v>2364</v>
      </c>
      <c r="I4" s="6">
        <v>2108</v>
      </c>
      <c r="J4" s="7">
        <v>5927</v>
      </c>
      <c r="K4" s="7"/>
    </row>
    <row r="5" spans="1:11" ht="14.5">
      <c r="A5" s="1" t="s">
        <v>13</v>
      </c>
      <c r="B5" s="5">
        <v>3663</v>
      </c>
      <c r="C5" s="5">
        <v>2376</v>
      </c>
      <c r="D5" s="5">
        <v>2204</v>
      </c>
      <c r="E5" s="5">
        <v>2775</v>
      </c>
      <c r="F5" s="5">
        <v>4241</v>
      </c>
      <c r="G5" s="5">
        <v>3879</v>
      </c>
      <c r="H5" s="5">
        <v>6319</v>
      </c>
      <c r="I5" s="6">
        <v>6979</v>
      </c>
      <c r="J5" s="5">
        <v>6045</v>
      </c>
      <c r="K5" s="5"/>
    </row>
    <row r="6" spans="1:11" ht="14.5">
      <c r="A6" s="1" t="s">
        <v>14</v>
      </c>
      <c r="B6" s="5">
        <v>4203</v>
      </c>
      <c r="C6" s="5">
        <v>4708</v>
      </c>
      <c r="D6" s="5">
        <v>4163</v>
      </c>
      <c r="E6" s="5">
        <v>5043</v>
      </c>
      <c r="F6" s="5">
        <v>10140</v>
      </c>
      <c r="G6" s="5">
        <v>3514</v>
      </c>
      <c r="H6" s="5">
        <v>8186</v>
      </c>
      <c r="I6" s="6">
        <v>6619</v>
      </c>
      <c r="J6" s="5"/>
      <c r="K6" s="5"/>
    </row>
    <row r="7" spans="1:11" ht="14.5">
      <c r="A7" s="1" t="s">
        <v>15</v>
      </c>
      <c r="B7" s="5">
        <v>5338</v>
      </c>
      <c r="C7" s="5">
        <v>5179</v>
      </c>
      <c r="D7" s="5">
        <v>4163</v>
      </c>
      <c r="E7" s="5">
        <v>4997</v>
      </c>
      <c r="F7" s="5">
        <v>5140</v>
      </c>
      <c r="G7" s="5">
        <v>4608</v>
      </c>
      <c r="H7" s="5">
        <v>7474</v>
      </c>
      <c r="I7" s="6">
        <v>7065</v>
      </c>
      <c r="J7" s="5"/>
      <c r="K7" s="5">
        <v>11747</v>
      </c>
    </row>
    <row r="8" spans="1:11" ht="14.5">
      <c r="A8" s="1" t="s">
        <v>16</v>
      </c>
      <c r="B8" s="5">
        <v>6160</v>
      </c>
      <c r="C8" s="5">
        <v>4252</v>
      </c>
      <c r="D8" s="5">
        <v>2572</v>
      </c>
      <c r="E8" s="5">
        <v>2668</v>
      </c>
      <c r="F8" s="5">
        <v>4364</v>
      </c>
      <c r="G8" s="5">
        <v>3890</v>
      </c>
      <c r="H8" s="5">
        <v>6892</v>
      </c>
      <c r="I8" s="6">
        <v>6033</v>
      </c>
      <c r="J8" s="5"/>
      <c r="K8" s="5">
        <v>2739</v>
      </c>
    </row>
    <row r="9" spans="1:11" ht="14.5">
      <c r="A9" s="1" t="s">
        <v>17</v>
      </c>
      <c r="B9" s="5">
        <v>7558</v>
      </c>
      <c r="C9" s="5">
        <v>4193</v>
      </c>
      <c r="D9" s="5">
        <v>3444</v>
      </c>
      <c r="E9" s="5">
        <v>3286</v>
      </c>
      <c r="F9" s="5">
        <v>4653</v>
      </c>
      <c r="G9" s="5">
        <v>4810</v>
      </c>
      <c r="H9" s="5">
        <v>5421</v>
      </c>
      <c r="I9" s="6">
        <v>3341</v>
      </c>
      <c r="J9" s="5"/>
      <c r="K9" s="5">
        <v>4398</v>
      </c>
    </row>
    <row r="10" spans="1:11" ht="14.5">
      <c r="A10" s="1" t="s">
        <v>18</v>
      </c>
      <c r="B10" s="5">
        <v>3969</v>
      </c>
      <c r="C10" s="5">
        <v>5197</v>
      </c>
      <c r="D10" s="5">
        <v>4101</v>
      </c>
      <c r="E10" s="5">
        <v>3914</v>
      </c>
      <c r="F10" s="5">
        <v>4118</v>
      </c>
      <c r="G10" s="5">
        <v>4292</v>
      </c>
      <c r="H10" s="5">
        <v>4236</v>
      </c>
      <c r="I10" s="6">
        <v>3588</v>
      </c>
      <c r="J10" s="5"/>
      <c r="K10" s="5">
        <v>3976</v>
      </c>
    </row>
    <row r="11" spans="1:11" ht="14.5">
      <c r="A11" s="1" t="s">
        <v>19</v>
      </c>
      <c r="B11" s="5">
        <v>3253</v>
      </c>
      <c r="C11" s="5">
        <v>2393</v>
      </c>
      <c r="D11" s="5">
        <v>2022</v>
      </c>
      <c r="E11" s="5">
        <v>3611</v>
      </c>
      <c r="F11" s="5">
        <v>3047</v>
      </c>
      <c r="G11" s="5">
        <v>3532</v>
      </c>
      <c r="H11" s="5">
        <v>3078</v>
      </c>
      <c r="I11" s="6">
        <v>4826</v>
      </c>
      <c r="J11" s="5"/>
      <c r="K11" s="5">
        <v>5260</v>
      </c>
    </row>
    <row r="12" spans="1:11" ht="14.5">
      <c r="A12" s="1" t="s">
        <v>20</v>
      </c>
      <c r="B12" s="5">
        <v>2231</v>
      </c>
      <c r="C12" s="5">
        <v>7625</v>
      </c>
      <c r="D12" s="5">
        <v>1796</v>
      </c>
      <c r="E12" s="5">
        <v>2299</v>
      </c>
      <c r="F12" s="5">
        <v>3034</v>
      </c>
      <c r="G12" s="5">
        <v>1589</v>
      </c>
      <c r="H12" s="5">
        <v>4117</v>
      </c>
      <c r="I12" s="6">
        <v>2938</v>
      </c>
      <c r="J12" s="5"/>
      <c r="K12" s="5">
        <v>4226</v>
      </c>
    </row>
    <row r="13" spans="1:11" ht="14.5">
      <c r="A13" s="1" t="s">
        <v>21</v>
      </c>
      <c r="B13" s="5">
        <v>3136</v>
      </c>
      <c r="C13" s="5">
        <v>4539</v>
      </c>
      <c r="D13" s="5">
        <v>3298</v>
      </c>
      <c r="E13" s="5">
        <v>3982</v>
      </c>
      <c r="F13" s="5">
        <v>3725</v>
      </c>
      <c r="G13" s="5">
        <v>5678</v>
      </c>
      <c r="H13" s="5">
        <v>4655</v>
      </c>
      <c r="I13" s="6">
        <v>4256</v>
      </c>
      <c r="J13" s="5"/>
      <c r="K13" s="5">
        <v>5332</v>
      </c>
    </row>
    <row r="14" spans="1:11" ht="14.5">
      <c r="A14" s="1" t="s">
        <v>22</v>
      </c>
      <c r="B14" s="5">
        <v>2509</v>
      </c>
      <c r="C14" s="5">
        <v>2284</v>
      </c>
      <c r="D14" s="5">
        <v>2801</v>
      </c>
      <c r="E14" s="5">
        <v>3516</v>
      </c>
      <c r="F14" s="5">
        <v>3561</v>
      </c>
      <c r="G14" s="5">
        <v>4588</v>
      </c>
      <c r="H14" s="5">
        <v>5215</v>
      </c>
      <c r="I14" s="6">
        <v>3858</v>
      </c>
      <c r="J14" s="5"/>
      <c r="K14" s="5">
        <v>4468</v>
      </c>
    </row>
    <row r="15" spans="1:11" ht="14.5">
      <c r="A15" s="1" t="s">
        <v>23</v>
      </c>
      <c r="B15" s="8">
        <v>2297</v>
      </c>
      <c r="C15" s="8">
        <v>2045</v>
      </c>
      <c r="D15" s="8">
        <v>1645</v>
      </c>
      <c r="E15" s="8">
        <v>5583</v>
      </c>
      <c r="F15" s="8">
        <v>2331</v>
      </c>
      <c r="G15" s="8">
        <v>4066</v>
      </c>
      <c r="H15" s="8">
        <v>5212</v>
      </c>
      <c r="I15" s="9">
        <v>4607</v>
      </c>
      <c r="J15" s="8"/>
      <c r="K15" s="8"/>
    </row>
    <row r="16" spans="1:11" ht="14.5">
      <c r="A16" s="10" t="s">
        <v>24</v>
      </c>
      <c r="B16" s="8">
        <f>SUBTOTAL(109,[2012])</f>
        <v>48546</v>
      </c>
      <c r="C16" s="8">
        <f>SUBTOTAL(109,[2013])</f>
        <v>46569</v>
      </c>
      <c r="D16" s="8">
        <f>SUBTOTAL(109,[2014])</f>
        <v>34997</v>
      </c>
      <c r="E16" s="8">
        <f>SUBTOTAL(109,[2015])</f>
        <v>44467</v>
      </c>
      <c r="F16" s="8">
        <f>SUBTOTAL(109,[2016])</f>
        <v>54173</v>
      </c>
      <c r="G16" s="8">
        <f>SUBTOTAL(109,[2017])</f>
        <v>45950</v>
      </c>
      <c r="H16" s="8">
        <f>SUBTOTAL(109,[2018])</f>
        <v>63169</v>
      </c>
      <c r="I16" s="8">
        <f>SUBTOTAL(109,[2019])</f>
        <v>56218</v>
      </c>
      <c r="J16" s="8">
        <f>SUBTOTAL(109,[2020])</f>
        <v>11972</v>
      </c>
      <c r="K16" s="8">
        <f>SUBTOTAL(109,[2021])</f>
        <v>42146</v>
      </c>
    </row>
    <row r="17" spans="1:11" ht="14.5">
      <c r="A17" s="1"/>
      <c r="B17" s="11"/>
      <c r="C17" s="11"/>
      <c r="D17" s="11"/>
      <c r="E17" s="11"/>
      <c r="F17" s="11"/>
      <c r="G17" s="1"/>
      <c r="H17" s="1"/>
      <c r="I17" s="1"/>
      <c r="J17" s="1"/>
      <c r="K17" s="1"/>
    </row>
    <row r="18" spans="1:11" ht="14.5">
      <c r="A18" s="1" t="s">
        <v>25</v>
      </c>
      <c r="B18" s="11">
        <f>AVERAGE(Table1228[2012])</f>
        <v>4045.5</v>
      </c>
      <c r="C18" s="11">
        <f>AVERAGE(Table1228[2013])</f>
        <v>3880.75</v>
      </c>
      <c r="D18" s="11">
        <f>AVERAGE(Table1228[2014])</f>
        <v>2916.4166666666665</v>
      </c>
      <c r="E18" s="11">
        <f>AVERAGE(Table1228[2015])</f>
        <v>3705.5833333333335</v>
      </c>
      <c r="F18" s="11">
        <f>AVERAGE(Table1228[2016])</f>
        <v>4514.416666666667</v>
      </c>
      <c r="G18" s="11">
        <f>AVERAGE(Table1228[2017])</f>
        <v>3829.1666666666665</v>
      </c>
      <c r="H18" s="11">
        <f>AVERAGE(Table1228[2018])</f>
        <v>5264.083333333333</v>
      </c>
      <c r="I18" s="11">
        <f>AVERAGE(Table1228[2019])</f>
        <v>4684.833333333333</v>
      </c>
      <c r="J18" s="12">
        <f>AVERAGE(Table1228[2020])</f>
        <v>5986</v>
      </c>
      <c r="K18" s="12">
        <f>AVERAGE(Table1228[2021])</f>
        <v>5268.25</v>
      </c>
    </row>
    <row r="19" spans="1:11" ht="14.5">
      <c r="A19" s="13" t="s">
        <v>26</v>
      </c>
      <c r="B19" s="11"/>
      <c r="C19" s="11"/>
      <c r="D19" s="11"/>
      <c r="E19" s="11"/>
      <c r="F19" s="11"/>
      <c r="G19" s="11"/>
      <c r="H19" s="11"/>
      <c r="I19" s="1"/>
      <c r="J19" s="1"/>
      <c r="K19" s="1"/>
    </row>
    <row r="20" spans="1:11" ht="14.5">
      <c r="A20" s="13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" thickBot="1">
      <c r="A21" s="1"/>
      <c r="B21" s="1"/>
      <c r="C21" s="11"/>
      <c r="D21" s="11"/>
      <c r="E21" s="11"/>
      <c r="F21" s="11"/>
      <c r="G21" s="11"/>
      <c r="H21" s="11"/>
      <c r="I21" s="11"/>
      <c r="J21" s="1"/>
      <c r="K21" s="1"/>
    </row>
    <row r="22" spans="1:11" ht="15" thickBot="1">
      <c r="A22" s="25" t="s">
        <v>28</v>
      </c>
      <c r="B22" s="26"/>
      <c r="C22" s="26"/>
      <c r="D22" s="26"/>
      <c r="E22" s="26"/>
      <c r="F22" s="26"/>
      <c r="G22" s="26"/>
      <c r="H22" s="26"/>
      <c r="I22" s="26"/>
      <c r="J22" s="26"/>
      <c r="K22" s="27"/>
    </row>
    <row r="23" spans="1:11" ht="14.5">
      <c r="A23" s="2" t="s">
        <v>1</v>
      </c>
      <c r="B23" s="3" t="s">
        <v>2</v>
      </c>
      <c r="C23" s="3" t="s">
        <v>3</v>
      </c>
      <c r="D23" s="3" t="s">
        <v>4</v>
      </c>
      <c r="E23" s="3" t="s">
        <v>5</v>
      </c>
      <c r="F23" s="3" t="s">
        <v>6</v>
      </c>
      <c r="G23" s="3" t="s">
        <v>7</v>
      </c>
      <c r="H23" s="3" t="s">
        <v>8</v>
      </c>
      <c r="I23" s="4" t="s">
        <v>9</v>
      </c>
      <c r="J23" s="3" t="s">
        <v>10</v>
      </c>
      <c r="K23" s="3" t="s">
        <v>11</v>
      </c>
    </row>
    <row r="24" spans="1:11" ht="14.5">
      <c r="A24" s="1" t="s">
        <v>12</v>
      </c>
      <c r="B24" s="14">
        <v>9594</v>
      </c>
      <c r="C24" s="14">
        <v>12842</v>
      </c>
      <c r="D24" s="14">
        <v>5265</v>
      </c>
      <c r="E24" s="14">
        <v>7489</v>
      </c>
      <c r="F24" s="14">
        <v>7356</v>
      </c>
      <c r="G24" s="5">
        <v>10701</v>
      </c>
      <c r="H24" s="5">
        <v>6563</v>
      </c>
      <c r="I24" s="6">
        <v>5899</v>
      </c>
      <c r="J24" s="7">
        <v>9856</v>
      </c>
      <c r="K24" s="7"/>
    </row>
    <row r="25" spans="1:11" ht="14.5">
      <c r="A25" s="1" t="s">
        <v>13</v>
      </c>
      <c r="B25" s="14">
        <v>5445</v>
      </c>
      <c r="C25" s="14">
        <v>8492</v>
      </c>
      <c r="D25" s="14">
        <v>8808</v>
      </c>
      <c r="E25" s="14">
        <v>9146</v>
      </c>
      <c r="F25" s="14">
        <v>9413</v>
      </c>
      <c r="G25" s="5">
        <v>13272</v>
      </c>
      <c r="H25" s="5">
        <v>9314</v>
      </c>
      <c r="I25" s="6">
        <v>6731</v>
      </c>
      <c r="J25" s="5">
        <v>8785</v>
      </c>
      <c r="K25" s="5"/>
    </row>
    <row r="26" spans="1:11" ht="14.5">
      <c r="A26" s="1" t="s">
        <v>14</v>
      </c>
      <c r="B26" s="14">
        <v>12556</v>
      </c>
      <c r="C26" s="14">
        <v>16614</v>
      </c>
      <c r="D26" s="14">
        <v>15495</v>
      </c>
      <c r="E26" s="14">
        <v>13702</v>
      </c>
      <c r="F26" s="14">
        <v>16736</v>
      </c>
      <c r="G26" s="5">
        <v>23451</v>
      </c>
      <c r="H26" s="5">
        <v>16693</v>
      </c>
      <c r="I26" s="6">
        <v>12602</v>
      </c>
      <c r="J26" s="5"/>
      <c r="K26" s="5"/>
    </row>
    <row r="27" spans="1:11" ht="14.5">
      <c r="A27" s="1" t="s">
        <v>15</v>
      </c>
      <c r="B27" s="14">
        <v>24021</v>
      </c>
      <c r="C27" s="14">
        <v>15754</v>
      </c>
      <c r="D27" s="14">
        <v>15507</v>
      </c>
      <c r="E27" s="14">
        <v>17904</v>
      </c>
      <c r="F27" s="14">
        <v>17925</v>
      </c>
      <c r="G27" s="5">
        <v>34335</v>
      </c>
      <c r="H27" s="5">
        <v>20188</v>
      </c>
      <c r="I27" s="6">
        <v>14253</v>
      </c>
      <c r="J27" s="5"/>
      <c r="K27" s="5">
        <v>26132</v>
      </c>
    </row>
    <row r="28" spans="1:11" ht="14.5">
      <c r="A28" s="1" t="s">
        <v>16</v>
      </c>
      <c r="B28" s="14">
        <v>23692</v>
      </c>
      <c r="C28" s="14">
        <v>20902</v>
      </c>
      <c r="D28" s="14">
        <v>33399</v>
      </c>
      <c r="E28" s="14">
        <v>21134</v>
      </c>
      <c r="F28" s="14">
        <v>21885</v>
      </c>
      <c r="G28" s="5">
        <v>30272</v>
      </c>
      <c r="H28" s="5">
        <v>25140</v>
      </c>
      <c r="I28" s="6">
        <v>17678</v>
      </c>
      <c r="J28" s="5"/>
      <c r="K28" s="5">
        <v>19637</v>
      </c>
    </row>
    <row r="29" spans="1:11" ht="14.5">
      <c r="A29" s="1" t="s">
        <v>17</v>
      </c>
      <c r="B29" s="14">
        <v>14636</v>
      </c>
      <c r="C29" s="14">
        <v>34233</v>
      </c>
      <c r="D29" s="14">
        <v>34563</v>
      </c>
      <c r="E29" s="14">
        <v>34779</v>
      </c>
      <c r="F29" s="14">
        <v>25984</v>
      </c>
      <c r="G29" s="5">
        <v>35572</v>
      </c>
      <c r="H29" s="5">
        <v>28265</v>
      </c>
      <c r="I29" s="6">
        <v>16949</v>
      </c>
      <c r="J29" s="5"/>
      <c r="K29" s="5">
        <v>21014</v>
      </c>
    </row>
    <row r="30" spans="1:11" ht="14.5">
      <c r="A30" s="1" t="s">
        <v>18</v>
      </c>
      <c r="B30" s="14">
        <v>13038</v>
      </c>
      <c r="C30" s="14">
        <v>32169</v>
      </c>
      <c r="D30" s="14">
        <v>39525</v>
      </c>
      <c r="E30" s="14">
        <v>38164</v>
      </c>
      <c r="F30" s="14">
        <v>22394</v>
      </c>
      <c r="G30" s="5">
        <v>27997</v>
      </c>
      <c r="H30" s="5">
        <v>20278</v>
      </c>
      <c r="I30" s="6">
        <v>15340</v>
      </c>
      <c r="J30" s="5"/>
      <c r="K30" s="5">
        <v>19598</v>
      </c>
    </row>
    <row r="31" spans="1:11" ht="14.5">
      <c r="A31" s="1" t="s">
        <v>19</v>
      </c>
      <c r="B31" s="14">
        <v>20764</v>
      </c>
      <c r="C31" s="14">
        <v>17571</v>
      </c>
      <c r="D31" s="14">
        <v>36711</v>
      </c>
      <c r="E31" s="14">
        <v>26272</v>
      </c>
      <c r="F31" s="14">
        <v>17574</v>
      </c>
      <c r="G31" s="5">
        <v>21267</v>
      </c>
      <c r="H31" s="5">
        <v>18213</v>
      </c>
      <c r="I31" s="6">
        <v>9338</v>
      </c>
      <c r="J31" s="5"/>
      <c r="K31" s="5">
        <v>17874</v>
      </c>
    </row>
    <row r="32" spans="1:11" ht="14.5">
      <c r="A32" s="1" t="s">
        <v>20</v>
      </c>
      <c r="B32" s="5">
        <v>17022</v>
      </c>
      <c r="C32" s="5">
        <v>21066</v>
      </c>
      <c r="D32" s="5">
        <v>20034</v>
      </c>
      <c r="E32" s="5">
        <v>23930</v>
      </c>
      <c r="F32" s="5">
        <v>29359</v>
      </c>
      <c r="G32" s="5">
        <v>15117</v>
      </c>
      <c r="H32" s="5">
        <v>18530</v>
      </c>
      <c r="I32" s="6">
        <v>10817</v>
      </c>
      <c r="J32" s="5"/>
      <c r="K32" s="5">
        <v>14115</v>
      </c>
    </row>
    <row r="33" spans="1:11" ht="14.5">
      <c r="A33" s="1" t="s">
        <v>21</v>
      </c>
      <c r="B33" s="5">
        <v>28100</v>
      </c>
      <c r="C33" s="5">
        <v>9131</v>
      </c>
      <c r="D33" s="5">
        <v>18540</v>
      </c>
      <c r="E33" s="5">
        <v>21687</v>
      </c>
      <c r="F33" s="5">
        <v>22341</v>
      </c>
      <c r="G33" s="15">
        <v>20132</v>
      </c>
      <c r="H33" s="15">
        <v>17349</v>
      </c>
      <c r="I33" s="6">
        <v>4634</v>
      </c>
      <c r="J33" s="5"/>
      <c r="K33" s="5">
        <v>21565</v>
      </c>
    </row>
    <row r="34" spans="1:11" ht="14.5">
      <c r="A34" s="1" t="s">
        <v>22</v>
      </c>
      <c r="B34" s="5">
        <v>20343</v>
      </c>
      <c r="C34" s="5">
        <v>12202</v>
      </c>
      <c r="D34" s="5">
        <v>13017</v>
      </c>
      <c r="E34" s="5">
        <v>17020</v>
      </c>
      <c r="F34" s="5">
        <v>21893</v>
      </c>
      <c r="G34" s="5">
        <v>17354</v>
      </c>
      <c r="H34" s="5">
        <v>11994</v>
      </c>
      <c r="I34" s="6">
        <v>12422</v>
      </c>
      <c r="J34" s="5"/>
      <c r="K34" s="5">
        <v>18012</v>
      </c>
    </row>
    <row r="35" spans="1:11" ht="14.5">
      <c r="A35" s="1" t="s">
        <v>23</v>
      </c>
      <c r="B35" s="8">
        <v>10983</v>
      </c>
      <c r="C35" s="8">
        <v>7825</v>
      </c>
      <c r="D35" s="8">
        <v>9692</v>
      </c>
      <c r="E35" s="8">
        <v>9469</v>
      </c>
      <c r="F35" s="8">
        <v>9601</v>
      </c>
      <c r="G35" s="8">
        <v>9364</v>
      </c>
      <c r="H35" s="8">
        <v>6478</v>
      </c>
      <c r="I35" s="6">
        <v>9957</v>
      </c>
      <c r="J35" s="8"/>
      <c r="K35" s="8"/>
    </row>
    <row r="36" spans="1:11" ht="14.5">
      <c r="A36" s="10" t="s">
        <v>24</v>
      </c>
      <c r="B36" s="8">
        <f>SUBTOTAL(109,[2012])</f>
        <v>200194</v>
      </c>
      <c r="C36" s="8">
        <f>SUBTOTAL(109,[2013])</f>
        <v>208801</v>
      </c>
      <c r="D36" s="8">
        <f>SUBTOTAL(109,[2014])</f>
        <v>250556</v>
      </c>
      <c r="E36" s="8">
        <f>SUBTOTAL(109,[2015])</f>
        <v>240696</v>
      </c>
      <c r="F36" s="8">
        <f>SUBTOTAL(109,[2016])</f>
        <v>222461</v>
      </c>
      <c r="G36" s="8">
        <f>SUBTOTAL(109,[2017])</f>
        <v>258834</v>
      </c>
      <c r="H36" s="8">
        <f>SUBTOTAL(109,[2018])</f>
        <v>199005</v>
      </c>
      <c r="I36" s="8">
        <f>SUBTOTAL(109,[2019])</f>
        <v>136620</v>
      </c>
      <c r="J36" s="8">
        <f>SUBTOTAL(109,[2020])</f>
        <v>18641</v>
      </c>
      <c r="K36" s="8">
        <f>SUBTOTAL(109,[2021])</f>
        <v>157947</v>
      </c>
    </row>
    <row r="37" spans="1:11" ht="14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5">
      <c r="A38" s="1" t="s">
        <v>25</v>
      </c>
      <c r="B38" s="11">
        <f>AVERAGE(Table1329[2012])</f>
        <v>16682.833333333332</v>
      </c>
      <c r="C38" s="11">
        <f>AVERAGE(Table1329[2013])</f>
        <v>17400.083333333332</v>
      </c>
      <c r="D38" s="11">
        <f>AVERAGE(Table1329[2014])</f>
        <v>20879.666666666668</v>
      </c>
      <c r="E38" s="11">
        <f>AVERAGE(Table1329[2015])</f>
        <v>20058</v>
      </c>
      <c r="F38" s="11">
        <f>AVERAGE(Table1329[2016])</f>
        <v>18538.416666666668</v>
      </c>
      <c r="G38" s="11">
        <f>AVERAGE(Table1329[2017])</f>
        <v>21569.5</v>
      </c>
      <c r="H38" s="11">
        <f>AVERAGE(Table1329[2018])</f>
        <v>16583.75</v>
      </c>
      <c r="I38" s="11">
        <f>AVERAGE(Table1329[2019])</f>
        <v>11385</v>
      </c>
      <c r="J38" s="11">
        <f>AVERAGE(Table1329[2020])</f>
        <v>9320.5</v>
      </c>
      <c r="K38" s="11">
        <f>AVERAGE(Table1329[2021])</f>
        <v>19743.375</v>
      </c>
    </row>
    <row r="39" spans="1:11" ht="14.5">
      <c r="A39" s="13" t="s">
        <v>29</v>
      </c>
      <c r="B39" s="1"/>
      <c r="C39" s="11"/>
      <c r="D39" s="11"/>
      <c r="E39" s="11"/>
      <c r="F39" s="11"/>
      <c r="G39" s="11"/>
      <c r="H39" s="11"/>
      <c r="I39" s="1"/>
      <c r="J39" s="1"/>
      <c r="K39" s="1"/>
    </row>
    <row r="40" spans="1:11" ht="14.5">
      <c r="A40" s="13" t="s">
        <v>30</v>
      </c>
      <c r="B40" s="1"/>
      <c r="C40" s="11"/>
      <c r="D40" s="11"/>
      <c r="E40" s="11"/>
      <c r="F40" s="11"/>
      <c r="G40" s="11"/>
      <c r="H40" s="11"/>
      <c r="I40" s="1"/>
      <c r="J40" s="1"/>
      <c r="K40" s="1"/>
    </row>
    <row r="41" spans="1:11" ht="14.5">
      <c r="A41" s="13" t="s">
        <v>31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" thickBot="1">
      <c r="A43" s="25" t="s">
        <v>32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</row>
    <row r="44" spans="1:11" ht="14.5">
      <c r="A44" s="16" t="s">
        <v>1</v>
      </c>
      <c r="B44" s="3" t="s">
        <v>2</v>
      </c>
      <c r="C44" s="3" t="s">
        <v>3</v>
      </c>
      <c r="D44" s="3" t="s">
        <v>4</v>
      </c>
      <c r="E44" s="3" t="s">
        <v>5</v>
      </c>
      <c r="F44" s="3" t="s">
        <v>6</v>
      </c>
      <c r="G44" s="3" t="s">
        <v>7</v>
      </c>
      <c r="H44" s="3" t="s">
        <v>8</v>
      </c>
      <c r="I44" s="3" t="s">
        <v>9</v>
      </c>
      <c r="J44" s="17" t="s">
        <v>10</v>
      </c>
      <c r="K44" s="17" t="s">
        <v>11</v>
      </c>
    </row>
    <row r="45" spans="1:11" ht="14.5">
      <c r="A45" s="15" t="s">
        <v>12</v>
      </c>
      <c r="B45" s="14"/>
      <c r="C45" s="14"/>
      <c r="D45" s="14"/>
      <c r="E45" s="14">
        <v>1050</v>
      </c>
      <c r="F45" s="14">
        <v>861</v>
      </c>
      <c r="G45" s="15">
        <v>614</v>
      </c>
      <c r="H45" s="15">
        <v>704</v>
      </c>
      <c r="I45" s="15">
        <v>112</v>
      </c>
      <c r="J45" s="7">
        <v>601</v>
      </c>
      <c r="K45" s="7"/>
    </row>
    <row r="46" spans="1:11" ht="14.5">
      <c r="A46" s="15" t="s">
        <v>13</v>
      </c>
      <c r="B46" s="14"/>
      <c r="C46" s="14"/>
      <c r="D46" s="14"/>
      <c r="E46" s="14">
        <v>538</v>
      </c>
      <c r="F46" s="14">
        <v>687</v>
      </c>
      <c r="G46" s="15">
        <v>1299</v>
      </c>
      <c r="H46" s="15">
        <v>594</v>
      </c>
      <c r="I46" s="15">
        <v>290</v>
      </c>
      <c r="J46" s="5">
        <v>607</v>
      </c>
      <c r="K46" s="5"/>
    </row>
    <row r="47" spans="1:11" ht="14.5">
      <c r="A47" s="15" t="s">
        <v>14</v>
      </c>
      <c r="B47" s="14"/>
      <c r="C47" s="14"/>
      <c r="D47" s="14"/>
      <c r="E47" s="14">
        <v>4898</v>
      </c>
      <c r="F47" s="14">
        <v>7232</v>
      </c>
      <c r="G47" s="5">
        <v>1776</v>
      </c>
      <c r="H47" s="5">
        <v>6797</v>
      </c>
      <c r="I47" s="5">
        <v>3479</v>
      </c>
      <c r="J47" s="5"/>
      <c r="K47" s="5"/>
    </row>
    <row r="48" spans="1:11" ht="14.5">
      <c r="A48" s="15" t="s">
        <v>15</v>
      </c>
      <c r="B48" s="14"/>
      <c r="C48" s="14"/>
      <c r="D48" s="14"/>
      <c r="E48" s="14">
        <v>4868</v>
      </c>
      <c r="F48" s="14">
        <v>4755</v>
      </c>
      <c r="G48" s="5">
        <v>4059</v>
      </c>
      <c r="H48" s="5">
        <v>6848</v>
      </c>
      <c r="I48" s="5">
        <v>7911</v>
      </c>
      <c r="J48" s="5"/>
      <c r="K48" s="5">
        <v>13852</v>
      </c>
    </row>
    <row r="49" spans="1:11" ht="14.5">
      <c r="A49" s="15" t="s">
        <v>16</v>
      </c>
      <c r="B49" s="14"/>
      <c r="C49" s="14"/>
      <c r="D49" s="14"/>
      <c r="E49" s="14">
        <v>3455</v>
      </c>
      <c r="F49" s="14">
        <v>3302</v>
      </c>
      <c r="G49" s="5">
        <v>4331</v>
      </c>
      <c r="H49" s="5">
        <v>6849</v>
      </c>
      <c r="I49" s="5">
        <v>6555</v>
      </c>
      <c r="J49" s="5"/>
      <c r="K49" s="5">
        <v>7656</v>
      </c>
    </row>
    <row r="50" spans="1:11" ht="14.5">
      <c r="A50" s="15" t="s">
        <v>17</v>
      </c>
      <c r="B50" s="14"/>
      <c r="C50" s="14"/>
      <c r="D50" s="14"/>
      <c r="E50" s="14">
        <v>2352</v>
      </c>
      <c r="F50" s="14">
        <v>3214</v>
      </c>
      <c r="G50" s="15">
        <v>2648</v>
      </c>
      <c r="H50" s="5">
        <v>3749</v>
      </c>
      <c r="I50" s="5">
        <v>5590</v>
      </c>
      <c r="J50" s="5"/>
      <c r="K50" s="5">
        <v>11402</v>
      </c>
    </row>
    <row r="51" spans="1:11" ht="14.5">
      <c r="A51" s="15" t="s">
        <v>18</v>
      </c>
      <c r="B51" s="14"/>
      <c r="C51" s="14"/>
      <c r="D51" s="14"/>
      <c r="E51" s="14">
        <v>1624</v>
      </c>
      <c r="F51" s="14">
        <v>1848</v>
      </c>
      <c r="G51" s="15">
        <v>2708</v>
      </c>
      <c r="H51" s="5">
        <v>3430</v>
      </c>
      <c r="I51" s="5">
        <v>3046</v>
      </c>
      <c r="J51" s="5"/>
      <c r="K51" s="5">
        <v>4342</v>
      </c>
    </row>
    <row r="52" spans="1:11" ht="14.5">
      <c r="A52" s="15" t="s">
        <v>19</v>
      </c>
      <c r="B52" s="14"/>
      <c r="C52" s="14"/>
      <c r="D52" s="14"/>
      <c r="E52" s="14">
        <v>1105</v>
      </c>
      <c r="F52" s="14">
        <v>646</v>
      </c>
      <c r="G52" s="5">
        <v>1163</v>
      </c>
      <c r="H52" s="5">
        <v>2105</v>
      </c>
      <c r="I52" s="5">
        <v>2722</v>
      </c>
      <c r="J52" s="5"/>
      <c r="K52" s="5">
        <v>4387</v>
      </c>
    </row>
    <row r="53" spans="1:11" ht="14.5">
      <c r="A53" s="15" t="s">
        <v>20</v>
      </c>
      <c r="B53" s="5"/>
      <c r="C53" s="5"/>
      <c r="D53" s="5"/>
      <c r="E53" s="5">
        <v>1223</v>
      </c>
      <c r="F53" s="5">
        <v>1052</v>
      </c>
      <c r="G53" s="15">
        <v>693</v>
      </c>
      <c r="H53" s="5">
        <v>1305</v>
      </c>
      <c r="I53" s="15">
        <v>857</v>
      </c>
      <c r="J53" s="5"/>
      <c r="K53" s="5">
        <v>7336</v>
      </c>
    </row>
    <row r="54" spans="1:11" ht="14.5">
      <c r="A54" s="15" t="s">
        <v>21</v>
      </c>
      <c r="B54" s="5"/>
      <c r="C54" s="5"/>
      <c r="D54" s="5"/>
      <c r="E54" s="5">
        <v>603</v>
      </c>
      <c r="F54" s="5">
        <v>1337</v>
      </c>
      <c r="G54" s="5">
        <v>1249</v>
      </c>
      <c r="H54" s="5">
        <v>1019</v>
      </c>
      <c r="I54" s="5">
        <v>1185</v>
      </c>
      <c r="J54" s="5"/>
      <c r="K54" s="5">
        <v>6062</v>
      </c>
    </row>
    <row r="55" spans="1:11" ht="14.5">
      <c r="A55" s="15" t="s">
        <v>22</v>
      </c>
      <c r="B55" s="5"/>
      <c r="C55" s="5"/>
      <c r="D55" s="5"/>
      <c r="E55" s="5">
        <v>1018</v>
      </c>
      <c r="F55" s="5">
        <v>681</v>
      </c>
      <c r="G55" s="15">
        <v>684</v>
      </c>
      <c r="H55" s="5">
        <v>1110</v>
      </c>
      <c r="I55" s="15">
        <v>576</v>
      </c>
      <c r="J55" s="5"/>
      <c r="K55" s="5">
        <v>2108</v>
      </c>
    </row>
    <row r="56" spans="1:11" ht="14.5">
      <c r="A56" s="15" t="s">
        <v>23</v>
      </c>
      <c r="B56" s="5"/>
      <c r="C56" s="5"/>
      <c r="D56" s="5"/>
      <c r="E56" s="5">
        <v>679</v>
      </c>
      <c r="F56" s="5">
        <v>474</v>
      </c>
      <c r="G56" s="15">
        <v>779</v>
      </c>
      <c r="H56" s="5">
        <v>1110</v>
      </c>
      <c r="I56" s="15">
        <v>560</v>
      </c>
      <c r="J56" s="8"/>
      <c r="K56" s="8"/>
    </row>
    <row r="57" spans="1:11" ht="14.5">
      <c r="A57" s="1" t="s">
        <v>24</v>
      </c>
      <c r="B57" s="1"/>
      <c r="C57" s="1"/>
      <c r="D57" s="1"/>
      <c r="E57" s="11">
        <f>SUBTOTAL(109,[2015])</f>
        <v>23413</v>
      </c>
      <c r="F57" s="11">
        <f>SUBTOTAL(109,[2016])</f>
        <v>26089</v>
      </c>
      <c r="G57" s="11">
        <f>SUBTOTAL(109,[2017])</f>
        <v>22003</v>
      </c>
      <c r="H57" s="11">
        <f>SUBTOTAL(109,[2018])</f>
        <v>35620</v>
      </c>
      <c r="I57" s="11">
        <f>SUBTOTAL(109,[2019])</f>
        <v>32883</v>
      </c>
      <c r="J57" s="11">
        <f>SUBTOTAL(109,[2020])</f>
        <v>1208</v>
      </c>
      <c r="K57" s="11">
        <f>SUBTOTAL(109,[2021])</f>
        <v>57145</v>
      </c>
    </row>
    <row r="58" spans="1:11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5">
      <c r="A59" s="1" t="s">
        <v>25</v>
      </c>
      <c r="B59" s="11"/>
      <c r="C59" s="11"/>
      <c r="D59" s="11"/>
      <c r="E59" s="11">
        <f>AVERAGE(Table1430[2015])</f>
        <v>1951.0833333333333</v>
      </c>
      <c r="F59" s="11">
        <f>AVERAGE(Table1430[2016])</f>
        <v>2174.0833333333335</v>
      </c>
      <c r="G59" s="11">
        <f>AVERAGE(Table1430[2017])</f>
        <v>1833.5833333333333</v>
      </c>
      <c r="H59" s="11">
        <f>AVERAGE(Table1430[2018])</f>
        <v>2968.3333333333335</v>
      </c>
      <c r="I59" s="11">
        <f>AVERAGE(Table1430[2019])</f>
        <v>2740.25</v>
      </c>
      <c r="J59" s="11">
        <f>AVERAGE(Table1430[2020])</f>
        <v>604</v>
      </c>
      <c r="K59" s="11">
        <f>AVERAGE(Table1430[2021])</f>
        <v>7143.125</v>
      </c>
    </row>
    <row r="60" spans="1:11" ht="14.5">
      <c r="A60" s="13" t="s">
        <v>33</v>
      </c>
      <c r="B60" s="1"/>
      <c r="C60" s="11"/>
      <c r="D60" s="11"/>
      <c r="E60" s="11"/>
      <c r="F60" s="11"/>
      <c r="G60" s="11"/>
      <c r="H60" s="11"/>
      <c r="I60" s="1"/>
      <c r="J60" s="1"/>
      <c r="K60" s="1"/>
    </row>
    <row r="62" spans="1:11" ht="15" thickBot="1">
      <c r="A62" s="25" t="s">
        <v>34</v>
      </c>
      <c r="B62" s="26"/>
      <c r="C62" s="26"/>
      <c r="D62" s="26"/>
      <c r="E62" s="26"/>
      <c r="F62" s="26"/>
      <c r="G62" s="26"/>
      <c r="H62" s="26"/>
      <c r="I62" s="26"/>
      <c r="J62" s="26"/>
      <c r="K62" s="27"/>
    </row>
    <row r="63" spans="1:11" ht="14.5">
      <c r="A63" s="2" t="s">
        <v>1</v>
      </c>
      <c r="B63" s="3" t="s">
        <v>2</v>
      </c>
      <c r="C63" s="3" t="s">
        <v>3</v>
      </c>
      <c r="D63" s="3" t="s">
        <v>4</v>
      </c>
      <c r="E63" s="3" t="s">
        <v>5</v>
      </c>
      <c r="F63" s="3" t="s">
        <v>6</v>
      </c>
      <c r="G63" s="3" t="s">
        <v>7</v>
      </c>
      <c r="H63" s="3" t="s">
        <v>8</v>
      </c>
      <c r="I63" s="4" t="s">
        <v>9</v>
      </c>
      <c r="J63" s="3" t="s">
        <v>10</v>
      </c>
      <c r="K63" s="3" t="s">
        <v>11</v>
      </c>
    </row>
    <row r="64" spans="1:11" ht="14.5">
      <c r="A64" s="1" t="s">
        <v>12</v>
      </c>
      <c r="B64" s="14"/>
      <c r="C64" s="14"/>
      <c r="D64" s="14"/>
      <c r="E64" s="14"/>
      <c r="F64" s="14">
        <v>847</v>
      </c>
      <c r="G64" s="15">
        <v>711</v>
      </c>
      <c r="H64" s="15">
        <v>459</v>
      </c>
      <c r="I64" s="15">
        <v>584</v>
      </c>
      <c r="J64" s="15">
        <v>596</v>
      </c>
      <c r="K64" s="1">
        <v>155</v>
      </c>
    </row>
    <row r="65" spans="1:11" ht="14.5">
      <c r="A65" s="1" t="s">
        <v>13</v>
      </c>
      <c r="B65" s="14"/>
      <c r="C65" s="14"/>
      <c r="D65" s="14"/>
      <c r="E65" s="14"/>
      <c r="F65" s="14">
        <v>993</v>
      </c>
      <c r="G65" s="15">
        <v>938</v>
      </c>
      <c r="H65" s="15">
        <v>708</v>
      </c>
      <c r="I65" s="15">
        <v>688</v>
      </c>
      <c r="J65" s="15">
        <v>686</v>
      </c>
      <c r="K65" s="1">
        <v>118</v>
      </c>
    </row>
    <row r="66" spans="1:11" ht="14.5">
      <c r="A66" s="1" t="s">
        <v>14</v>
      </c>
      <c r="B66" s="14"/>
      <c r="C66" s="14"/>
      <c r="D66" s="14"/>
      <c r="E66" s="15"/>
      <c r="F66" s="5">
        <v>1436</v>
      </c>
      <c r="G66" s="5">
        <v>1521</v>
      </c>
      <c r="H66" s="5">
        <v>1243</v>
      </c>
      <c r="I66" s="5">
        <v>1461</v>
      </c>
      <c r="J66" s="15">
        <v>496</v>
      </c>
      <c r="K66" s="1">
        <v>500</v>
      </c>
    </row>
    <row r="67" spans="1:11" ht="14.5">
      <c r="A67" s="1" t="s">
        <v>15</v>
      </c>
      <c r="B67" s="14"/>
      <c r="C67" s="14"/>
      <c r="D67" s="14"/>
      <c r="E67" s="14">
        <v>1224</v>
      </c>
      <c r="F67" s="14">
        <v>1345</v>
      </c>
      <c r="G67" s="5">
        <v>1197</v>
      </c>
      <c r="H67" s="15">
        <v>954</v>
      </c>
      <c r="I67" s="5">
        <v>1027</v>
      </c>
      <c r="J67" s="15"/>
      <c r="K67" s="1">
        <v>495</v>
      </c>
    </row>
    <row r="68" spans="1:11" ht="14.5">
      <c r="A68" s="1" t="s">
        <v>16</v>
      </c>
      <c r="B68" s="14"/>
      <c r="C68" s="14"/>
      <c r="D68" s="14"/>
      <c r="E68" s="14">
        <v>1954</v>
      </c>
      <c r="F68" s="14">
        <v>2440</v>
      </c>
      <c r="G68" s="5">
        <v>1445</v>
      </c>
      <c r="H68" s="15">
        <v>960</v>
      </c>
      <c r="I68" s="15">
        <v>995</v>
      </c>
      <c r="J68" s="15"/>
      <c r="K68" s="1">
        <v>382</v>
      </c>
    </row>
    <row r="69" spans="1:11" ht="14.5">
      <c r="A69" s="1" t="s">
        <v>17</v>
      </c>
      <c r="B69" s="14"/>
      <c r="C69" s="14"/>
      <c r="D69" s="14"/>
      <c r="E69" s="14">
        <v>1870</v>
      </c>
      <c r="F69" s="14">
        <v>1910</v>
      </c>
      <c r="G69" s="5">
        <v>2186</v>
      </c>
      <c r="H69" s="5">
        <v>1884</v>
      </c>
      <c r="I69" s="5">
        <v>1886</v>
      </c>
      <c r="J69" s="15">
        <v>414</v>
      </c>
      <c r="K69" s="1">
        <v>717</v>
      </c>
    </row>
    <row r="70" spans="1:11" ht="14.5">
      <c r="A70" s="1" t="s">
        <v>18</v>
      </c>
      <c r="B70" s="14"/>
      <c r="C70" s="14"/>
      <c r="D70" s="14"/>
      <c r="E70" s="14">
        <v>2330</v>
      </c>
      <c r="F70" s="14">
        <v>2520</v>
      </c>
      <c r="G70" s="5">
        <v>2157</v>
      </c>
      <c r="H70" s="5">
        <v>1555</v>
      </c>
      <c r="I70" s="5">
        <v>1512</v>
      </c>
      <c r="J70" s="15">
        <v>480</v>
      </c>
      <c r="K70" s="1">
        <v>695</v>
      </c>
    </row>
    <row r="71" spans="1:11" ht="14.5">
      <c r="A71" s="1" t="s">
        <v>19</v>
      </c>
      <c r="B71" s="14"/>
      <c r="C71" s="14"/>
      <c r="D71" s="14"/>
      <c r="E71" s="14">
        <v>1448</v>
      </c>
      <c r="F71" s="14">
        <v>1084</v>
      </c>
      <c r="G71" s="5">
        <v>1029</v>
      </c>
      <c r="H71" s="5">
        <v>1007</v>
      </c>
      <c r="I71" s="15">
        <v>983</v>
      </c>
      <c r="J71" s="15"/>
      <c r="K71" s="1">
        <v>370</v>
      </c>
    </row>
    <row r="72" spans="1:11" ht="14.5">
      <c r="A72" s="1" t="s">
        <v>20</v>
      </c>
      <c r="B72" s="5"/>
      <c r="C72" s="5"/>
      <c r="D72" s="5"/>
      <c r="E72" s="5">
        <v>866</v>
      </c>
      <c r="F72" s="5">
        <v>984</v>
      </c>
      <c r="G72" s="15">
        <v>567</v>
      </c>
      <c r="H72" s="15">
        <v>441</v>
      </c>
      <c r="I72" s="15">
        <v>567</v>
      </c>
      <c r="J72" s="15"/>
      <c r="K72" s="1">
        <v>292</v>
      </c>
    </row>
    <row r="73" spans="1:11" ht="14.5">
      <c r="A73" s="1" t="s">
        <v>21</v>
      </c>
      <c r="B73" s="5"/>
      <c r="C73" s="5"/>
      <c r="D73" s="5"/>
      <c r="E73" s="5">
        <v>965</v>
      </c>
      <c r="F73" s="5">
        <v>1056</v>
      </c>
      <c r="G73" s="15">
        <v>713</v>
      </c>
      <c r="H73" s="15">
        <v>702</v>
      </c>
      <c r="I73" s="15">
        <v>575</v>
      </c>
      <c r="J73" s="15"/>
      <c r="K73" s="1">
        <v>304</v>
      </c>
    </row>
    <row r="74" spans="1:11" ht="14.5">
      <c r="A74" s="1" t="s">
        <v>22</v>
      </c>
      <c r="B74" s="5"/>
      <c r="C74" s="5"/>
      <c r="D74" s="5"/>
      <c r="E74" s="5">
        <v>1054</v>
      </c>
      <c r="F74" s="5">
        <v>837</v>
      </c>
      <c r="G74" s="15">
        <v>707</v>
      </c>
      <c r="H74" s="15">
        <v>628</v>
      </c>
      <c r="I74" s="15">
        <v>493</v>
      </c>
      <c r="J74" s="15"/>
      <c r="K74" s="1">
        <v>318</v>
      </c>
    </row>
    <row r="75" spans="1:11" ht="14.5">
      <c r="A75" s="1" t="s">
        <v>23</v>
      </c>
      <c r="B75" s="8"/>
      <c r="C75" s="8"/>
      <c r="D75" s="8"/>
      <c r="E75" s="8">
        <v>785</v>
      </c>
      <c r="F75" s="8">
        <v>1346</v>
      </c>
      <c r="G75" s="18">
        <v>658</v>
      </c>
      <c r="H75" s="8">
        <v>667</v>
      </c>
      <c r="I75" s="15">
        <v>662</v>
      </c>
      <c r="J75" s="15"/>
      <c r="K75" s="1"/>
    </row>
    <row r="76" spans="1:11" ht="14.5">
      <c r="A76" s="10" t="s">
        <v>24</v>
      </c>
      <c r="B76" s="18"/>
      <c r="C76" s="18"/>
      <c r="D76" s="18"/>
      <c r="E76" s="8">
        <f>SUBTOTAL(109,[2015])</f>
        <v>12496</v>
      </c>
      <c r="F76" s="8">
        <f>SUBTOTAL(109,[2016])</f>
        <v>16798</v>
      </c>
      <c r="G76" s="8">
        <f>SUBTOTAL(109,[2017])</f>
        <v>13829</v>
      </c>
      <c r="H76" s="8">
        <f>SUBTOTAL(109,[2018])</f>
        <v>11208</v>
      </c>
      <c r="I76" s="8">
        <f>SUBTOTAL(109,[2019])</f>
        <v>11433</v>
      </c>
      <c r="J76" s="19">
        <f>SUBTOTAL(109,[2020])</f>
        <v>2672</v>
      </c>
      <c r="K76" s="19">
        <f>SUBTOTAL(109,[2021])</f>
        <v>4346</v>
      </c>
    </row>
    <row r="77" spans="1:11" ht="14.5">
      <c r="A77" s="1"/>
      <c r="B77" s="1"/>
      <c r="C77" s="1"/>
      <c r="D77" s="1"/>
      <c r="E77" s="1"/>
      <c r="F77" s="1"/>
      <c r="G77" s="1"/>
      <c r="H77" s="1"/>
      <c r="I77" s="20"/>
      <c r="J77" s="1"/>
      <c r="K77" s="1"/>
    </row>
    <row r="78" spans="1:11" ht="14.5">
      <c r="A78" s="1" t="s">
        <v>25</v>
      </c>
      <c r="B78" s="11">
        <v>0</v>
      </c>
      <c r="C78" s="11">
        <v>0</v>
      </c>
      <c r="D78" s="11">
        <v>0</v>
      </c>
      <c r="E78" s="11">
        <f>AVERAGE(CNTAPFlow31[2015])</f>
        <v>1388.4444444444443</v>
      </c>
      <c r="F78" s="11">
        <f>AVERAGE(CNTAPFlow31[2016])</f>
        <v>1399.8333333333333</v>
      </c>
      <c r="G78" s="11">
        <f>AVERAGE(CNTAPFlow31[2017])</f>
        <v>1152.4166666666667</v>
      </c>
      <c r="H78" s="11">
        <f>AVERAGE(CNTAPFlow31[2018])</f>
        <v>934</v>
      </c>
      <c r="I78" s="11">
        <f>AVERAGE(CNTAPFlow31[2019])</f>
        <v>952.75</v>
      </c>
      <c r="J78" s="21">
        <f>AVERAGE(CNTAPFlow31[2020])</f>
        <v>534.4</v>
      </c>
      <c r="K78" s="21">
        <f>AVERAGE(CNTAPFlow31[2021])</f>
        <v>395.09090909090907</v>
      </c>
    </row>
    <row r="79" spans="1:11" ht="14.5">
      <c r="A79" s="22" t="s">
        <v>35</v>
      </c>
      <c r="B79" s="1"/>
      <c r="C79" s="11"/>
      <c r="D79" s="11"/>
      <c r="E79" s="11"/>
      <c r="F79" s="11"/>
      <c r="G79" s="11"/>
      <c r="H79" s="11"/>
      <c r="K79" s="1"/>
    </row>
    <row r="80" spans="1:11" ht="14.5">
      <c r="A80" s="22" t="s">
        <v>36</v>
      </c>
      <c r="B80" s="1"/>
      <c r="C80" s="11"/>
      <c r="D80" s="11"/>
      <c r="E80" s="11"/>
      <c r="F80" s="11"/>
      <c r="G80" s="11"/>
      <c r="H80" s="11"/>
      <c r="K80" s="1"/>
    </row>
    <row r="82" spans="1:11" ht="15" thickBot="1">
      <c r="A82" s="22"/>
      <c r="K82" s="1"/>
    </row>
    <row r="83" spans="1:11" ht="15" thickBot="1">
      <c r="A83" s="25" t="s">
        <v>37</v>
      </c>
      <c r="B83" s="26"/>
      <c r="C83" s="26"/>
      <c r="D83" s="26"/>
      <c r="E83" s="26"/>
      <c r="F83" s="26"/>
      <c r="G83" s="26"/>
      <c r="H83" s="26"/>
      <c r="I83" s="26"/>
      <c r="J83" s="26"/>
      <c r="K83" s="27"/>
    </row>
    <row r="84" spans="1:11" ht="14.5">
      <c r="A84" s="2" t="s">
        <v>1</v>
      </c>
      <c r="B84" s="3" t="s">
        <v>2</v>
      </c>
      <c r="C84" s="3" t="s">
        <v>3</v>
      </c>
      <c r="D84" s="3" t="s">
        <v>4</v>
      </c>
      <c r="E84" s="3" t="s">
        <v>5</v>
      </c>
      <c r="F84" s="3" t="s">
        <v>6</v>
      </c>
      <c r="G84" s="3" t="s">
        <v>7</v>
      </c>
      <c r="H84" s="3" t="s">
        <v>8</v>
      </c>
      <c r="I84" s="3" t="s">
        <v>9</v>
      </c>
      <c r="J84" s="3" t="s">
        <v>10</v>
      </c>
      <c r="K84" s="3" t="s">
        <v>11</v>
      </c>
    </row>
    <row r="85" spans="1:11" ht="14.5">
      <c r="A85" s="1" t="s">
        <v>12</v>
      </c>
      <c r="B85" s="5">
        <v>8506</v>
      </c>
      <c r="C85" s="5">
        <v>10082</v>
      </c>
      <c r="D85" s="5">
        <v>8087</v>
      </c>
      <c r="E85" s="5">
        <v>10000</v>
      </c>
      <c r="F85" s="5">
        <v>0</v>
      </c>
      <c r="G85" s="15">
        <v>0</v>
      </c>
      <c r="H85" s="15">
        <v>0</v>
      </c>
      <c r="I85" s="15">
        <v>0</v>
      </c>
      <c r="J85" s="5">
        <v>6079</v>
      </c>
      <c r="K85" s="1"/>
    </row>
    <row r="86" spans="1:11" ht="14.5">
      <c r="A86" s="1" t="s">
        <v>13</v>
      </c>
      <c r="B86" s="5">
        <v>9645</v>
      </c>
      <c r="C86" s="5">
        <v>10588</v>
      </c>
      <c r="D86" s="5">
        <v>9018</v>
      </c>
      <c r="E86" s="5">
        <v>10920</v>
      </c>
      <c r="F86" s="5">
        <v>0</v>
      </c>
      <c r="G86" s="15">
        <v>0</v>
      </c>
      <c r="H86" s="15">
        <v>0</v>
      </c>
      <c r="I86" s="15">
        <v>0</v>
      </c>
      <c r="J86" s="5">
        <v>6880</v>
      </c>
      <c r="K86" s="1"/>
    </row>
    <row r="87" spans="1:11" ht="14.5">
      <c r="A87" s="1" t="s">
        <v>14</v>
      </c>
      <c r="B87" s="5">
        <v>14087</v>
      </c>
      <c r="C87" s="5">
        <v>15828</v>
      </c>
      <c r="D87" s="5">
        <v>14608</v>
      </c>
      <c r="E87" s="5">
        <v>14385</v>
      </c>
      <c r="F87" s="5">
        <v>0</v>
      </c>
      <c r="G87" s="15">
        <v>0</v>
      </c>
      <c r="H87" s="15">
        <v>0</v>
      </c>
      <c r="I87" s="15">
        <v>0</v>
      </c>
      <c r="J87" s="5">
        <v>3490</v>
      </c>
      <c r="K87" s="11">
        <v>1996</v>
      </c>
    </row>
    <row r="88" spans="1:11" ht="14.5">
      <c r="A88" s="1" t="s">
        <v>15</v>
      </c>
      <c r="B88" s="5">
        <v>9908</v>
      </c>
      <c r="C88" s="5">
        <v>12551</v>
      </c>
      <c r="D88" s="5">
        <v>11716</v>
      </c>
      <c r="E88" s="5">
        <v>12300</v>
      </c>
      <c r="F88" s="5">
        <v>0</v>
      </c>
      <c r="G88" s="15">
        <v>0</v>
      </c>
      <c r="H88" s="15">
        <v>0</v>
      </c>
      <c r="I88" s="15">
        <v>0</v>
      </c>
      <c r="J88" s="15"/>
      <c r="K88" s="11">
        <v>2243</v>
      </c>
    </row>
    <row r="89" spans="1:11" ht="14.5">
      <c r="A89" s="1" t="s">
        <v>16</v>
      </c>
      <c r="B89" s="5">
        <v>9908</v>
      </c>
      <c r="C89" s="5">
        <v>12264</v>
      </c>
      <c r="D89" s="5">
        <v>12150</v>
      </c>
      <c r="E89" s="5">
        <v>12035</v>
      </c>
      <c r="F89" s="5">
        <v>0</v>
      </c>
      <c r="G89" s="15">
        <v>0</v>
      </c>
      <c r="H89" s="15">
        <v>0</v>
      </c>
      <c r="I89" s="15">
        <v>600</v>
      </c>
      <c r="J89" s="15"/>
      <c r="K89" s="11">
        <v>2045</v>
      </c>
    </row>
    <row r="90" spans="1:11" ht="14.5">
      <c r="A90" s="1" t="s">
        <v>17</v>
      </c>
      <c r="B90" s="14">
        <v>15247</v>
      </c>
      <c r="C90" s="14">
        <v>17061</v>
      </c>
      <c r="D90" s="14">
        <v>16140</v>
      </c>
      <c r="E90" s="14">
        <v>14277</v>
      </c>
      <c r="F90" s="14">
        <v>0</v>
      </c>
      <c r="G90" s="15">
        <v>0</v>
      </c>
      <c r="H90" s="15">
        <v>0</v>
      </c>
      <c r="I90" s="5">
        <v>1742</v>
      </c>
      <c r="J90" s="5">
        <v>1352</v>
      </c>
      <c r="K90" s="11">
        <v>3324</v>
      </c>
    </row>
    <row r="91" spans="1:11" ht="14.5">
      <c r="A91" s="1" t="s">
        <v>18</v>
      </c>
      <c r="B91" s="14">
        <v>13328</v>
      </c>
      <c r="C91" s="14">
        <v>16147</v>
      </c>
      <c r="D91" s="14">
        <v>18232</v>
      </c>
      <c r="E91" s="23">
        <v>2244</v>
      </c>
      <c r="F91" s="14">
        <v>0</v>
      </c>
      <c r="G91" s="15">
        <v>0</v>
      </c>
      <c r="H91" s="15">
        <v>0</v>
      </c>
      <c r="I91" s="5">
        <v>3721</v>
      </c>
      <c r="J91" s="5">
        <v>1649</v>
      </c>
      <c r="K91" s="11">
        <v>3697</v>
      </c>
    </row>
    <row r="92" spans="1:11" ht="14.5">
      <c r="A92" s="1" t="s">
        <v>19</v>
      </c>
      <c r="B92" s="5">
        <v>11075</v>
      </c>
      <c r="C92" s="5">
        <v>12983</v>
      </c>
      <c r="D92" s="5">
        <v>13480</v>
      </c>
      <c r="E92" s="5">
        <v>0</v>
      </c>
      <c r="F92" s="5">
        <v>0</v>
      </c>
      <c r="G92" s="15">
        <v>0</v>
      </c>
      <c r="H92" s="15">
        <v>0</v>
      </c>
      <c r="I92" s="5">
        <v>5246</v>
      </c>
      <c r="J92" s="15"/>
      <c r="K92" s="11">
        <v>1871</v>
      </c>
    </row>
    <row r="93" spans="1:11" ht="14.5">
      <c r="A93" s="1" t="s">
        <v>20</v>
      </c>
      <c r="B93" s="5">
        <v>7451</v>
      </c>
      <c r="C93" s="5">
        <v>17812</v>
      </c>
      <c r="D93" s="5">
        <v>8648</v>
      </c>
      <c r="E93" s="5">
        <v>0</v>
      </c>
      <c r="F93" s="5">
        <v>0</v>
      </c>
      <c r="G93" s="15">
        <v>0</v>
      </c>
      <c r="H93" s="15">
        <v>0</v>
      </c>
      <c r="I93" s="5">
        <v>4678</v>
      </c>
      <c r="J93" s="15"/>
      <c r="K93" s="11">
        <v>1562</v>
      </c>
    </row>
    <row r="94" spans="1:11" ht="14.5">
      <c r="A94" s="1" t="s">
        <v>21</v>
      </c>
      <c r="B94" s="5">
        <v>12026</v>
      </c>
      <c r="C94" s="5">
        <v>11013</v>
      </c>
      <c r="D94" s="5">
        <v>14272</v>
      </c>
      <c r="E94" s="5">
        <v>0</v>
      </c>
      <c r="F94" s="5">
        <v>0</v>
      </c>
      <c r="G94" s="15">
        <v>0</v>
      </c>
      <c r="H94" s="15">
        <v>0</v>
      </c>
      <c r="I94" s="5">
        <v>5125</v>
      </c>
      <c r="J94" s="15"/>
      <c r="K94" s="11">
        <v>2206</v>
      </c>
    </row>
    <row r="95" spans="1:11" ht="14.5">
      <c r="A95" s="1" t="s">
        <v>22</v>
      </c>
      <c r="B95" s="5">
        <v>12618</v>
      </c>
      <c r="C95" s="5">
        <v>10309</v>
      </c>
      <c r="D95" s="5">
        <v>13404</v>
      </c>
      <c r="E95" s="5">
        <v>0</v>
      </c>
      <c r="F95" s="5">
        <v>0</v>
      </c>
      <c r="G95" s="15">
        <v>0</v>
      </c>
      <c r="H95" s="15">
        <v>0</v>
      </c>
      <c r="I95" s="5">
        <v>7590</v>
      </c>
      <c r="J95" s="15"/>
      <c r="K95" s="11">
        <v>2354</v>
      </c>
    </row>
    <row r="96" spans="1:11" ht="14.5">
      <c r="A96" s="1" t="s">
        <v>23</v>
      </c>
      <c r="B96" s="8">
        <v>13943</v>
      </c>
      <c r="C96" s="8">
        <v>12347</v>
      </c>
      <c r="D96" s="8">
        <v>14720</v>
      </c>
      <c r="E96" s="8">
        <v>0</v>
      </c>
      <c r="F96" s="8">
        <v>0</v>
      </c>
      <c r="G96" s="18">
        <v>0</v>
      </c>
      <c r="H96" s="18">
        <v>0</v>
      </c>
      <c r="I96" s="24">
        <v>10841</v>
      </c>
      <c r="J96" s="1"/>
      <c r="K96" s="1"/>
    </row>
    <row r="97" spans="1:11" ht="14.5">
      <c r="A97" s="10" t="s">
        <v>24</v>
      </c>
      <c r="B97" s="8">
        <f>SUBTOTAL(109,[2012])</f>
        <v>137742</v>
      </c>
      <c r="C97" s="8">
        <f>SUBTOTAL(109,[2013])</f>
        <v>158985</v>
      </c>
      <c r="D97" s="8">
        <f>SUBTOTAL(109,[2014])</f>
        <v>154475</v>
      </c>
      <c r="E97" s="8">
        <f>SUBTOTAL(109,[2015])</f>
        <v>76161</v>
      </c>
      <c r="F97" s="8">
        <f>SUBTOTAL(109,[2016])</f>
        <v>0</v>
      </c>
      <c r="G97" s="8">
        <f>SUBTOTAL(109,[2017])</f>
        <v>0</v>
      </c>
      <c r="H97" s="8">
        <f>SUBTOTAL(109,[2018])</f>
        <v>0</v>
      </c>
      <c r="I97" s="9">
        <f>SUBTOTAL(109,[2019])</f>
        <v>39543</v>
      </c>
      <c r="J97" s="19">
        <f>SUBTOTAL(109,[2020])</f>
        <v>19450</v>
      </c>
      <c r="K97" s="19">
        <f>SUBTOTAL(109,[2021])</f>
        <v>21298</v>
      </c>
    </row>
    <row r="98" spans="1:11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5">
      <c r="A99" s="1" t="s">
        <v>25</v>
      </c>
      <c r="B99" s="11">
        <f>AVERAGE(I10EBFlow32[2012])</f>
        <v>11478.5</v>
      </c>
      <c r="C99" s="11">
        <f>AVERAGE(I10EBFlow32[2013])</f>
        <v>13248.75</v>
      </c>
      <c r="D99" s="11">
        <f>AVERAGE(I10EBFlow32[2014])</f>
        <v>12872.916666666666</v>
      </c>
      <c r="E99" s="11">
        <f>AVERAGE(I10EBFlow32[2015])</f>
        <v>6346.75</v>
      </c>
      <c r="F99" s="11">
        <f>AVERAGE(I10EBFlow32[2016])</f>
        <v>0</v>
      </c>
      <c r="G99" s="11">
        <f>AVERAGE(I10EBFlow32[2017])</f>
        <v>0</v>
      </c>
      <c r="H99" s="11">
        <f>AVERAGE(I10EBFlow32[2018])</f>
        <v>0</v>
      </c>
      <c r="I99" s="11">
        <f>AVERAGE(I10EBFlow32[2019])</f>
        <v>3295.25</v>
      </c>
      <c r="J99" s="12">
        <f>AVERAGE(I10EBFlow32[2020])</f>
        <v>3890</v>
      </c>
      <c r="K99" s="12">
        <f>AVERAGE(I10EBFlow32[2021])</f>
        <v>2366.4444444444443</v>
      </c>
    </row>
    <row r="100" spans="1:11" ht="14.5">
      <c r="A100" s="22" t="s">
        <v>38</v>
      </c>
      <c r="B100" s="11"/>
      <c r="C100" s="11"/>
      <c r="D100" s="11"/>
      <c r="E100" s="11"/>
      <c r="F100" s="11"/>
      <c r="G100" s="11"/>
      <c r="H100" s="11"/>
      <c r="I100" s="1"/>
      <c r="J100" s="1"/>
      <c r="K100" s="1"/>
    </row>
  </sheetData>
  <mergeCells count="5">
    <mergeCell ref="A2:K2"/>
    <mergeCell ref="A22:K22"/>
    <mergeCell ref="A43:K43"/>
    <mergeCell ref="A62:K62"/>
    <mergeCell ref="A83:K83"/>
  </mergeCells>
  <printOptions/>
  <pageMargins left="0.7" right="0.7" top="0.75" bottom="0.75" header="0.3" footer="0.3"/>
  <pageSetup orientation="portrait" paperSize="9"/>
  <tableParts>
    <tablePart r:id="rId3"/>
    <tablePart r:id="rId5"/>
    <tablePart r:id="rId1"/>
    <tablePart r:id="rId2"/>
    <tablePart r:id="rId4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26c063d-e4ab-4c2c-a5f9-3b05989843c6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F426C5941C634898DECC69F43B1B84" ma:contentTypeVersion="14" ma:contentTypeDescription="Create a new document." ma:contentTypeScope="" ma:versionID="24953e2005de9db0cff3a0a131acf12e">
  <xsd:schema xmlns:xsd="http://www.w3.org/2001/XMLSchema" xmlns:xs="http://www.w3.org/2001/XMLSchema" xmlns:p="http://schemas.microsoft.com/office/2006/metadata/properties" xmlns:ns2="a26c063d-e4ab-4c2c-a5f9-3b05989843c6" xmlns:ns3="73166ee1-6b64-49a2-af77-8563fe7cb853" xmlns:ns4="31062a0d-ede8-4112-b4bb-00a9c1bc8e16" targetNamespace="http://schemas.microsoft.com/office/2006/metadata/properties" ma:root="true" ma:fieldsID="97aeda91bfa4dd79885f0688346d6ecf" ns2:_="" ns3:_="" ns4:_="">
    <xsd:import namespace="a26c063d-e4ab-4c2c-a5f9-3b05989843c6"/>
    <xsd:import namespace="73166ee1-6b64-49a2-af77-8563fe7cb853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c063d-e4ab-4c2c-a5f9-3b05989843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66ee1-6b64-49a2-af77-8563fe7cb85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869e4fb6-6020-4a5d-928b-5fdf01da3a8c}" ma:internalName="TaxCatchAll" ma:showField="CatchAllData" ma:web="73166ee1-6b64-49a2-af77-8563fe7cb8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D608EF-52B0-4DCD-AB75-D0238DF76390}">
  <ds:schemaRefs>
    <ds:schemaRef ds:uri="http://schemas.microsoft.com/office/2006/documentManagement/types"/>
    <ds:schemaRef ds:uri="http://schemas.microsoft.com/office/2006/metadata/properties"/>
    <ds:schemaRef ds:uri="73166ee1-6b64-49a2-af77-8563fe7cb853"/>
    <ds:schemaRef ds:uri="http://www.w3.org/XML/1998/namespace"/>
    <ds:schemaRef ds:uri="http://purl.org/dc/dcmitype/"/>
    <ds:schemaRef ds:uri="31062a0d-ede8-4112-b4bb-00a9c1bc8e16"/>
    <ds:schemaRef ds:uri="http://schemas.microsoft.com/office/infopath/2007/PartnerControls"/>
    <ds:schemaRef ds:uri="http://purl.org/dc/elements/1.1/"/>
    <ds:schemaRef ds:uri="a26c063d-e4ab-4c2c-a5f9-3b05989843c6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AC0FA4-DE17-44DD-873E-286AF465CE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AB26B-C99E-427B-8134-2AB87C8A21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6c063d-e4ab-4c2c-a5f9-3b05989843c6"/>
    <ds:schemaRef ds:uri="73166ee1-6b64-49a2-af77-8563fe7cb853"/>
    <ds:schemaRef ds:uri="31062a0d-ede8-4112-b4bb-00a9c1bc8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Klenke</dc:creator>
  <cp:keywords/>
  <dc:description/>
  <cp:lastModifiedBy>William Bell</cp:lastModifiedBy>
  <dcterms:created xsi:type="dcterms:W3CDTF">2021-12-16T18:55:54Z</dcterms:created>
  <dcterms:modified xsi:type="dcterms:W3CDTF">2024-05-29T19:01:23Z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0x010100CDF426C5941C634898DECC69F43B1B84</vt:lpwstr>
  </property>
  <property fmtid="{D5CDD505-2E9C-101B-9397-08002B2CF9AE}" pid="3" name="MediaServiceImageTags">
    <vt:lpwstr/>
  </property>
</Properties>
</file>